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fbau-my.sharepoint.com/personal/azz_altoraag_com_au/Documents/"/>
    </mc:Choice>
  </mc:AlternateContent>
  <xr:revisionPtr revIDLastSave="0" documentId="8_{6E658365-24E1-4E58-87EE-C4C7DA0EA3FA}" xr6:coauthVersionLast="47" xr6:coauthVersionMax="47" xr10:uidLastSave="{00000000-0000-0000-0000-000000000000}"/>
  <bookViews>
    <workbookView xWindow="-108" yWindow="-108" windowWidth="23256" windowHeight="13896" xr2:uid="{CE176775-BB60-44E7-9987-1AFB2543E7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P22" i="1"/>
  <c r="O22" i="1"/>
  <c r="M22" i="1"/>
  <c r="L22" i="1"/>
  <c r="K22" i="1"/>
  <c r="I22" i="1"/>
  <c r="H22" i="1"/>
  <c r="G22" i="1"/>
  <c r="E22" i="1"/>
  <c r="D22" i="1"/>
  <c r="C22" i="1"/>
  <c r="Q21" i="1"/>
  <c r="P21" i="1"/>
  <c r="O21" i="1"/>
  <c r="M21" i="1"/>
  <c r="L21" i="1"/>
  <c r="K21" i="1"/>
  <c r="I21" i="1"/>
  <c r="H21" i="1"/>
  <c r="G21" i="1"/>
  <c r="E21" i="1"/>
  <c r="D21" i="1"/>
  <c r="C21" i="1"/>
  <c r="Q20" i="1"/>
  <c r="O20" i="1"/>
  <c r="M20" i="1"/>
  <c r="I20" i="1"/>
  <c r="H20" i="1"/>
  <c r="D20" i="1"/>
  <c r="C20" i="1"/>
  <c r="Q17" i="1"/>
  <c r="P17" i="1"/>
  <c r="O17" i="1"/>
  <c r="M17" i="1"/>
  <c r="L17" i="1"/>
  <c r="K17" i="1"/>
  <c r="I17" i="1"/>
  <c r="H17" i="1"/>
  <c r="G17" i="1"/>
  <c r="E17" i="1"/>
  <c r="D17" i="1"/>
  <c r="C17" i="1"/>
  <c r="R30" i="1"/>
  <c r="R29" i="1"/>
  <c r="R28" i="1"/>
  <c r="R27" i="1"/>
  <c r="R26" i="1"/>
  <c r="R25" i="1"/>
  <c r="R24" i="1"/>
  <c r="R23" i="1"/>
  <c r="R19" i="1"/>
  <c r="R18" i="1"/>
  <c r="R16" i="1"/>
  <c r="N16" i="1"/>
  <c r="P20" i="1"/>
  <c r="K20" i="1"/>
  <c r="L20" i="1"/>
  <c r="F16" i="1"/>
  <c r="G20" i="1"/>
  <c r="R17" i="1" l="1"/>
  <c r="R20" i="1"/>
  <c r="R22" i="1"/>
  <c r="R21" i="1"/>
  <c r="E20" i="1"/>
  <c r="F20" i="1" l="1"/>
  <c r="F17" i="1"/>
  <c r="J30" i="1"/>
  <c r="N30" i="1"/>
  <c r="F30" i="1"/>
  <c r="J29" i="1"/>
  <c r="N29" i="1"/>
  <c r="F29" i="1"/>
  <c r="J28" i="1"/>
  <c r="N28" i="1"/>
  <c r="F28" i="1"/>
  <c r="J27" i="1"/>
  <c r="N27" i="1"/>
  <c r="F27" i="1"/>
  <c r="J26" i="1"/>
  <c r="N26" i="1"/>
  <c r="F26" i="1"/>
  <c r="J25" i="1"/>
  <c r="N25" i="1"/>
  <c r="F25" i="1"/>
  <c r="J24" i="1"/>
  <c r="N24" i="1"/>
  <c r="F24" i="1"/>
  <c r="J23" i="1"/>
  <c r="N23" i="1"/>
  <c r="F23" i="1"/>
  <c r="J20" i="1"/>
  <c r="N20" i="1"/>
  <c r="J19" i="1"/>
  <c r="N19" i="1"/>
  <c r="F19" i="1"/>
  <c r="J18" i="1"/>
  <c r="N18" i="1"/>
  <c r="F18" i="1"/>
  <c r="J16" i="1"/>
  <c r="S16" i="1" s="1"/>
  <c r="S27" i="1" l="1"/>
  <c r="S25" i="1"/>
  <c r="S28" i="1"/>
  <c r="S23" i="1"/>
  <c r="S29" i="1"/>
  <c r="S24" i="1"/>
  <c r="S18" i="1"/>
  <c r="S30" i="1"/>
  <c r="S19" i="1"/>
  <c r="S26" i="1"/>
  <c r="S20" i="1"/>
  <c r="N22" i="1"/>
  <c r="N21" i="1"/>
  <c r="F21" i="1"/>
  <c r="F22" i="1"/>
  <c r="J17" i="1"/>
  <c r="N17" i="1"/>
  <c r="J21" i="1"/>
  <c r="J22" i="1"/>
  <c r="S17" i="1" l="1"/>
  <c r="S22" i="1"/>
  <c r="S21" i="1"/>
</calcChain>
</file>

<file path=xl/sharedStrings.xml><?xml version="1.0" encoding="utf-8"?>
<sst xmlns="http://schemas.openxmlformats.org/spreadsheetml/2006/main" count="71" uniqueCount="50">
  <si>
    <t>Sampling Date</t>
  </si>
  <si>
    <t>Pollutants</t>
  </si>
  <si>
    <t>Units</t>
  </si>
  <si>
    <t>0-10</t>
  </si>
  <si>
    <t>10-20</t>
  </si>
  <si>
    <t>20-75cm</t>
  </si>
  <si>
    <t>Average</t>
  </si>
  <si>
    <t>Chloride</t>
  </si>
  <si>
    <t>mg/kg</t>
  </si>
  <si>
    <t>uS/cm</t>
  </si>
  <si>
    <t>Nitrate</t>
  </si>
  <si>
    <t>pH</t>
  </si>
  <si>
    <t>1:5 water</t>
  </si>
  <si>
    <t>Total Nitrogen</t>
  </si>
  <si>
    <t xml:space="preserve">Total Organic Carbon </t>
  </si>
  <si>
    <t>Total Phosphorus</t>
  </si>
  <si>
    <t>Exchangeable Calcium (Amm-acet)</t>
  </si>
  <si>
    <t>meq/100g</t>
  </si>
  <si>
    <t>Exchangeable Magnesium (Amm-acet.)</t>
  </si>
  <si>
    <t>Exchangeable Sodium (Amm-acet.)</t>
  </si>
  <si>
    <t>Exchangeable Potassium (Amm-acet.)</t>
  </si>
  <si>
    <t>Cation Exchange Capacity</t>
  </si>
  <si>
    <t>Available Phosphorus (Colwell)</t>
  </si>
  <si>
    <t>ESP - Exchangeable Sodium %</t>
  </si>
  <si>
    <t>%</t>
  </si>
  <si>
    <t>PSC - Phosphorous Sorption Capacity</t>
  </si>
  <si>
    <t>Buffer Index (PBI)</t>
  </si>
  <si>
    <t xml:space="preserve">  </t>
  </si>
  <si>
    <t>Environment Monitoring Results</t>
  </si>
  <si>
    <t>Environment Protection Licence No.</t>
  </si>
  <si>
    <t xml:space="preserve">Link to Licence on EPA Website </t>
  </si>
  <si>
    <t>Licencees Name</t>
  </si>
  <si>
    <t>Licencees Address</t>
  </si>
  <si>
    <t>Substance Monitored</t>
  </si>
  <si>
    <t>Monitoring Frequency</t>
  </si>
  <si>
    <t>Reporting Period</t>
  </si>
  <si>
    <t>Published Date</t>
  </si>
  <si>
    <t>https://app.epa.nsw.gov.au/prpoeoapp/Detail.aspx?instid=11604&amp;id=11604&amp;option=licence&amp;searchrange=licence&amp;range=POEO%20licence&amp;prp=no&amp;status=Issued</t>
  </si>
  <si>
    <t>BFB Pty Ltd</t>
  </si>
  <si>
    <t>95 Twynam St TEMORA NSW 2666</t>
  </si>
  <si>
    <t>Soil</t>
  </si>
  <si>
    <t>Yearly</t>
  </si>
  <si>
    <t>Monitoring Point</t>
  </si>
  <si>
    <t>Elect Conductivity</t>
  </si>
  <si>
    <t>Sample Mean</t>
  </si>
  <si>
    <t>18/01/2022 - 17/01/2023</t>
  </si>
  <si>
    <t xml:space="preserve">H2 North - Heinrichs </t>
  </si>
  <si>
    <t>W2 East - Wilesmiths</t>
  </si>
  <si>
    <t>M3 East - Marlow</t>
  </si>
  <si>
    <t>M4 West - Marlow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</si>
</sst>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2" xfId="0" applyFont="1" applyBorder="1"/>
    <xf numFmtId="0" fontId="3" fillId="0" borderId="3" xfId="0" quotePrefix="1" applyFont="1" applyBorder="1" applyAlignment="1">
      <alignment horizontal="right"/>
    </xf>
    <xf numFmtId="17" fontId="3" fillId="0" borderId="3" xfId="0" quotePrefix="1" applyNumberFormat="1" applyFont="1" applyBorder="1" applyAlignment="1">
      <alignment horizontal="right"/>
    </xf>
    <xf numFmtId="17" fontId="3" fillId="0" borderId="3" xfId="0" applyNumberFormat="1" applyFont="1" applyBorder="1" applyAlignment="1">
      <alignment horizontal="right"/>
    </xf>
    <xf numFmtId="0" fontId="4" fillId="0" borderId="4" xfId="0" applyFont="1" applyBorder="1"/>
    <xf numFmtId="2" fontId="4" fillId="0" borderId="6" xfId="0" applyNumberFormat="1" applyFont="1" applyBorder="1" applyAlignment="1">
      <alignment horizontal="right"/>
    </xf>
    <xf numFmtId="2" fontId="4" fillId="0" borderId="6" xfId="0" applyNumberFormat="1" applyFont="1" applyBorder="1" applyAlignment="1" applyProtection="1">
      <alignment horizontal="right"/>
      <protection locked="0"/>
    </xf>
    <xf numFmtId="0" fontId="4" fillId="0" borderId="7" xfId="0" applyFont="1" applyBorder="1"/>
    <xf numFmtId="2" fontId="2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2" fillId="0" borderId="10" xfId="0" applyFont="1" applyBorder="1" applyAlignment="1">
      <alignment wrapText="1"/>
    </xf>
    <xf numFmtId="2" fontId="4" fillId="0" borderId="1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7" fillId="0" borderId="1" xfId="1" applyFont="1" applyBorder="1" applyAlignment="1">
      <alignment wrapText="1" shrinkToFit="1"/>
    </xf>
    <xf numFmtId="14" fontId="4" fillId="0" borderId="1" xfId="0" applyNumberFormat="1" applyFont="1" applyBorder="1" applyAlignment="1">
      <alignment horizontal="left"/>
    </xf>
    <xf numFmtId="0" fontId="3" fillId="0" borderId="0" xfId="0" applyFont="1"/>
    <xf numFmtId="0" fontId="8" fillId="0" borderId="0" xfId="0" applyFont="1"/>
    <xf numFmtId="14" fontId="4" fillId="0" borderId="0" xfId="0" applyNumberFormat="1" applyFont="1"/>
    <xf numFmtId="0" fontId="4" fillId="0" borderId="3" xfId="0" applyFont="1" applyBorder="1"/>
    <xf numFmtId="0" fontId="4" fillId="0" borderId="2" xfId="0" applyFont="1" applyBorder="1"/>
    <xf numFmtId="0" fontId="9" fillId="0" borderId="12" xfId="0" applyFont="1" applyBorder="1"/>
    <xf numFmtId="14" fontId="9" fillId="0" borderId="12" xfId="0" applyNumberFormat="1" applyFont="1" applyBorder="1"/>
    <xf numFmtId="0" fontId="4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10" fillId="3" borderId="1" xfId="0" applyFont="1" applyFill="1" applyBorder="1"/>
    <xf numFmtId="0" fontId="4" fillId="0" borderId="11" xfId="0" applyFont="1" applyBorder="1"/>
    <xf numFmtId="0" fontId="5" fillId="2" borderId="0" xfId="0" applyFont="1" applyFill="1"/>
    <xf numFmtId="0" fontId="0" fillId="2" borderId="0" xfId="0" applyFill="1"/>
    <xf numFmtId="0" fontId="3" fillId="4" borderId="1" xfId="0" applyFont="1" applyFill="1" applyBorder="1"/>
    <xf numFmtId="0" fontId="3" fillId="4" borderId="1" xfId="0" applyFont="1" applyFill="1" applyBorder="1" applyAlignment="1">
      <alignment vertical="top"/>
    </xf>
    <xf numFmtId="0" fontId="3" fillId="4" borderId="12" xfId="0" applyFont="1" applyFill="1" applyBorder="1"/>
    <xf numFmtId="0" fontId="9" fillId="4" borderId="12" xfId="0" applyFont="1" applyFill="1" applyBorder="1"/>
    <xf numFmtId="14" fontId="4" fillId="0" borderId="1" xfId="0" applyNumberFormat="1" applyFont="1" applyBorder="1"/>
    <xf numFmtId="2" fontId="2" fillId="2" borderId="7" xfId="0" applyNumberFormat="1" applyFont="1" applyFill="1" applyBorder="1" applyAlignment="1">
      <alignment horizontal="right"/>
    </xf>
    <xf numFmtId="2" fontId="11" fillId="3" borderId="7" xfId="0" applyNumberFormat="1" applyFont="1" applyFill="1" applyBorder="1"/>
    <xf numFmtId="2" fontId="2" fillId="2" borderId="10" xfId="0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/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491306</xdr:colOff>
      <xdr:row>0</xdr:row>
      <xdr:rowOff>66674</xdr:rowOff>
    </xdr:from>
    <xdr:to>
      <xdr:col>18</xdr:col>
      <xdr:colOff>764667</xdr:colOff>
      <xdr:row>3</xdr:row>
      <xdr:rowOff>632459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C3165F-FFF4-42B6-8CBE-819CD7C61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5931" y="66674"/>
          <a:ext cx="2216461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epa.nsw.gov.au/prpoeoapp/Detail.aspx?instid=11604&amp;id=11604&amp;option=licence&amp;searchrange=licence&amp;range=POEO%20licence&amp;prp=no&amp;status=Issu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76E40-49A9-4C51-A917-CA464F09C0DE}">
  <sheetPr>
    <pageSetUpPr fitToPage="1"/>
  </sheetPr>
  <dimension ref="A1:W42"/>
  <sheetViews>
    <sheetView tabSelected="1" zoomScaleNormal="100" workbookViewId="0">
      <selection activeCell="J23" sqref="J23"/>
    </sheetView>
  </sheetViews>
  <sheetFormatPr defaultRowHeight="14.4" x14ac:dyDescent="0.3"/>
  <cols>
    <col min="1" max="1" width="34.88671875" customWidth="1"/>
    <col min="2" max="2" width="32.6640625" customWidth="1"/>
    <col min="3" max="18" width="9.6640625" customWidth="1"/>
    <col min="19" max="19" width="12.77734375" customWidth="1"/>
    <col min="20" max="22" width="9.6640625" customWidth="1"/>
    <col min="23" max="23" width="12.109375" customWidth="1"/>
  </cols>
  <sheetData>
    <row r="1" spans="1:23" ht="21" x14ac:dyDescent="0.4">
      <c r="A1" s="29" t="s">
        <v>28</v>
      </c>
      <c r="B1" s="30"/>
    </row>
    <row r="2" spans="1:23" x14ac:dyDescent="0.3">
      <c r="A2" s="1"/>
    </row>
    <row r="3" spans="1:23" x14ac:dyDescent="0.3">
      <c r="A3" s="31" t="s">
        <v>29</v>
      </c>
      <c r="B3" s="25">
        <v>11604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51" customHeight="1" x14ac:dyDescent="0.3">
      <c r="A4" s="32" t="s">
        <v>30</v>
      </c>
      <c r="B4" s="16" t="s">
        <v>37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x14ac:dyDescent="0.3">
      <c r="A5" s="31" t="s">
        <v>31</v>
      </c>
      <c r="B5" s="14" t="s">
        <v>38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x14ac:dyDescent="0.3">
      <c r="A6" s="31" t="s">
        <v>32</v>
      </c>
      <c r="B6" s="14" t="s">
        <v>39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x14ac:dyDescent="0.3">
      <c r="A7" s="31" t="s">
        <v>33</v>
      </c>
      <c r="B7" s="14" t="s">
        <v>40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x14ac:dyDescent="0.3">
      <c r="A8" s="31" t="s">
        <v>34</v>
      </c>
      <c r="B8" s="14" t="s">
        <v>41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x14ac:dyDescent="0.3">
      <c r="A9" s="31" t="s">
        <v>35</v>
      </c>
      <c r="B9" s="14" t="s">
        <v>45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x14ac:dyDescent="0.3">
      <c r="A10" s="31" t="s">
        <v>36</v>
      </c>
      <c r="B10" s="17">
        <v>45000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x14ac:dyDescent="0.3">
      <c r="A11" s="18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3">
      <c r="A12" s="19"/>
      <c r="B12" s="20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3">
      <c r="A13" s="33" t="s">
        <v>0</v>
      </c>
      <c r="B13" s="35"/>
      <c r="C13" s="24">
        <v>44959</v>
      </c>
      <c r="D13" s="21"/>
      <c r="E13" s="21"/>
      <c r="F13" s="22"/>
      <c r="G13" s="24">
        <v>44959</v>
      </c>
      <c r="H13" s="21"/>
      <c r="I13" s="21"/>
      <c r="J13" s="22"/>
      <c r="K13" s="24">
        <v>44959</v>
      </c>
      <c r="L13" s="21"/>
      <c r="M13" s="21"/>
      <c r="N13" s="22"/>
      <c r="O13" s="24">
        <v>44959</v>
      </c>
      <c r="P13" s="21"/>
      <c r="Q13" s="21"/>
      <c r="R13" s="22"/>
      <c r="S13" s="15"/>
    </row>
    <row r="14" spans="1:23" x14ac:dyDescent="0.3">
      <c r="A14" s="34" t="s">
        <v>42</v>
      </c>
      <c r="B14" s="14"/>
      <c r="C14" s="23" t="s">
        <v>46</v>
      </c>
      <c r="D14" s="21"/>
      <c r="E14" s="21"/>
      <c r="F14" s="22"/>
      <c r="G14" s="23" t="s">
        <v>47</v>
      </c>
      <c r="H14" s="21"/>
      <c r="I14" s="21"/>
      <c r="J14" s="22"/>
      <c r="K14" s="23" t="s">
        <v>48</v>
      </c>
      <c r="L14" s="21"/>
      <c r="M14" s="21"/>
      <c r="N14" s="22"/>
      <c r="O14" s="23" t="s">
        <v>49</v>
      </c>
      <c r="P14" s="21"/>
      <c r="Q14" s="21"/>
      <c r="R14" s="22"/>
      <c r="S14" s="28"/>
    </row>
    <row r="15" spans="1:23" x14ac:dyDescent="0.3">
      <c r="A15" s="31" t="s">
        <v>1</v>
      </c>
      <c r="B15" s="2" t="s">
        <v>2</v>
      </c>
      <c r="C15" s="3" t="s">
        <v>3</v>
      </c>
      <c r="D15" s="4" t="s">
        <v>4</v>
      </c>
      <c r="E15" s="5" t="s">
        <v>5</v>
      </c>
      <c r="F15" s="26" t="s">
        <v>6</v>
      </c>
      <c r="G15" s="3" t="s">
        <v>3</v>
      </c>
      <c r="H15" s="4" t="s">
        <v>4</v>
      </c>
      <c r="I15" s="5" t="s">
        <v>5</v>
      </c>
      <c r="J15" s="26" t="s">
        <v>6</v>
      </c>
      <c r="K15" s="3" t="s">
        <v>3</v>
      </c>
      <c r="L15" s="4" t="s">
        <v>4</v>
      </c>
      <c r="M15" s="5" t="s">
        <v>5</v>
      </c>
      <c r="N15" s="26" t="s">
        <v>6</v>
      </c>
      <c r="O15" s="3" t="s">
        <v>3</v>
      </c>
      <c r="P15" s="4" t="s">
        <v>4</v>
      </c>
      <c r="Q15" s="5" t="s">
        <v>5</v>
      </c>
      <c r="R15" s="26" t="s">
        <v>6</v>
      </c>
      <c r="S15" s="27" t="s">
        <v>44</v>
      </c>
    </row>
    <row r="16" spans="1:23" x14ac:dyDescent="0.3">
      <c r="A16" s="41" t="s">
        <v>7</v>
      </c>
      <c r="B16" s="6" t="s">
        <v>8</v>
      </c>
      <c r="C16" s="7">
        <v>22</v>
      </c>
      <c r="D16" s="7">
        <v>13</v>
      </c>
      <c r="E16" s="7">
        <v>27</v>
      </c>
      <c r="F16" s="36">
        <f>((E16*5.5)+D16+C16)/7.5</f>
        <v>24.466666666666665</v>
      </c>
      <c r="G16" s="7">
        <v>15</v>
      </c>
      <c r="H16" s="7">
        <v>25</v>
      </c>
      <c r="I16" s="8">
        <v>19</v>
      </c>
      <c r="J16" s="36">
        <f>((I16*5.5)+H16+G16)/7.5</f>
        <v>19.266666666666666</v>
      </c>
      <c r="K16" s="7">
        <v>22</v>
      </c>
      <c r="L16" s="7">
        <v>13</v>
      </c>
      <c r="M16" s="8">
        <v>46</v>
      </c>
      <c r="N16" s="36">
        <f>((M16*5.5)+L16+K16)/7.5</f>
        <v>38.4</v>
      </c>
      <c r="O16" s="7">
        <v>28</v>
      </c>
      <c r="P16" s="7">
        <v>24</v>
      </c>
      <c r="Q16" s="8">
        <v>17</v>
      </c>
      <c r="R16" s="36">
        <f>((Q16*5.5)+P16+O16)/7.5</f>
        <v>19.399999999999999</v>
      </c>
      <c r="S16" s="37">
        <f>SUM(F16,N16,J16,R16)/4</f>
        <v>25.383333333333333</v>
      </c>
    </row>
    <row r="17" spans="1:19" x14ac:dyDescent="0.3">
      <c r="A17" s="42" t="s">
        <v>43</v>
      </c>
      <c r="B17" s="9" t="s">
        <v>9</v>
      </c>
      <c r="C17" s="10">
        <f>0.08*1000</f>
        <v>80</v>
      </c>
      <c r="D17" s="10">
        <f>0.05*1000</f>
        <v>50</v>
      </c>
      <c r="E17" s="10">
        <f>0.08*1000</f>
        <v>80</v>
      </c>
      <c r="F17" s="36">
        <f>((E17*5.5)+D17+C17)/7.5</f>
        <v>76</v>
      </c>
      <c r="G17" s="10">
        <f>0.08*1000</f>
        <v>80</v>
      </c>
      <c r="H17" s="10">
        <f>0.11*1000</f>
        <v>110</v>
      </c>
      <c r="I17" s="10">
        <f>0.12*1000</f>
        <v>120</v>
      </c>
      <c r="J17" s="36">
        <f t="shared" ref="J17:J23" si="0">((I17*5.5)+H17+G17)/7.5</f>
        <v>113.33333333333333</v>
      </c>
      <c r="K17" s="10">
        <f>0.13*1000</f>
        <v>130</v>
      </c>
      <c r="L17" s="10">
        <f>0.12*1000</f>
        <v>120</v>
      </c>
      <c r="M17" s="10">
        <f>0.14*1000</f>
        <v>140</v>
      </c>
      <c r="N17" s="36">
        <f>((M17*5.5)+L17+K17)/7.5</f>
        <v>136</v>
      </c>
      <c r="O17" s="10">
        <f>0.17*1000</f>
        <v>170</v>
      </c>
      <c r="P17" s="10">
        <f>0.16*1000</f>
        <v>160</v>
      </c>
      <c r="Q17" s="10">
        <f>0.24*1000</f>
        <v>240</v>
      </c>
      <c r="R17" s="36">
        <f>((Q17*5.5)+P17+O17)/7.5</f>
        <v>220</v>
      </c>
      <c r="S17" s="37">
        <f t="shared" ref="S17:S30" si="1">SUM(F17,N17,J17,R17)/4</f>
        <v>136.33333333333331</v>
      </c>
    </row>
    <row r="18" spans="1:19" x14ac:dyDescent="0.3">
      <c r="A18" s="42" t="s">
        <v>10</v>
      </c>
      <c r="B18" s="9" t="s">
        <v>8</v>
      </c>
      <c r="C18" s="11">
        <v>13</v>
      </c>
      <c r="D18" s="11">
        <v>6.4</v>
      </c>
      <c r="E18" s="11">
        <v>2.6</v>
      </c>
      <c r="F18" s="36">
        <f t="shared" ref="F18:F29" si="2">((E18*5.5)+D18+C18)/7.5</f>
        <v>4.4933333333333341</v>
      </c>
      <c r="G18" s="11">
        <v>12</v>
      </c>
      <c r="H18" s="11">
        <v>16</v>
      </c>
      <c r="I18" s="11">
        <v>4</v>
      </c>
      <c r="J18" s="36">
        <f>((I18*5.5)+H18+G18)/7.5</f>
        <v>6.666666666666667</v>
      </c>
      <c r="K18" s="11">
        <v>16</v>
      </c>
      <c r="L18" s="11">
        <v>9.4</v>
      </c>
      <c r="M18" s="11">
        <v>4.3</v>
      </c>
      <c r="N18" s="36">
        <f t="shared" ref="N18:N30" si="3">((M18*5.5)+L18+K18)/7.5</f>
        <v>6.54</v>
      </c>
      <c r="O18" s="11">
        <v>11</v>
      </c>
      <c r="P18" s="11">
        <v>2</v>
      </c>
      <c r="Q18" s="11">
        <v>0.5</v>
      </c>
      <c r="R18" s="36">
        <f t="shared" ref="R18:R30" si="4">((Q18*5.5)+P18+O18)/7.5</f>
        <v>2.1</v>
      </c>
      <c r="S18" s="37">
        <f t="shared" si="1"/>
        <v>4.9500000000000011</v>
      </c>
    </row>
    <row r="19" spans="1:19" x14ac:dyDescent="0.3">
      <c r="A19" s="42" t="s">
        <v>11</v>
      </c>
      <c r="B19" s="9" t="s">
        <v>12</v>
      </c>
      <c r="C19" s="39">
        <v>6.5</v>
      </c>
      <c r="D19" s="39">
        <v>6.5</v>
      </c>
      <c r="E19" s="39">
        <v>6.8</v>
      </c>
      <c r="F19" s="36">
        <f t="shared" si="2"/>
        <v>6.72</v>
      </c>
      <c r="G19" s="40">
        <v>7</v>
      </c>
      <c r="H19" s="40">
        <v>7.2</v>
      </c>
      <c r="I19" s="40">
        <v>7.6</v>
      </c>
      <c r="J19" s="36">
        <f t="shared" si="0"/>
        <v>7.4666666666666668</v>
      </c>
      <c r="K19" s="40">
        <v>7.3</v>
      </c>
      <c r="L19" s="40">
        <v>7.4</v>
      </c>
      <c r="M19" s="40">
        <v>9</v>
      </c>
      <c r="N19" s="36">
        <f t="shared" si="3"/>
        <v>8.56</v>
      </c>
      <c r="O19" s="40">
        <v>7.5</v>
      </c>
      <c r="P19" s="40">
        <v>7.9</v>
      </c>
      <c r="Q19" s="40">
        <v>9</v>
      </c>
      <c r="R19" s="36">
        <f t="shared" si="4"/>
        <v>8.6533333333333342</v>
      </c>
      <c r="S19" s="37">
        <f t="shared" si="1"/>
        <v>7.8500000000000014</v>
      </c>
    </row>
    <row r="20" spans="1:19" x14ac:dyDescent="0.3">
      <c r="A20" s="42" t="s">
        <v>13</v>
      </c>
      <c r="B20" s="9" t="s">
        <v>8</v>
      </c>
      <c r="C20" s="10">
        <f>0.12*10000</f>
        <v>1200</v>
      </c>
      <c r="D20" s="10">
        <f>0.08*10000</f>
        <v>800</v>
      </c>
      <c r="E20" s="10">
        <f>0.05*10000</f>
        <v>500</v>
      </c>
      <c r="F20" s="36">
        <f t="shared" si="2"/>
        <v>633.33333333333337</v>
      </c>
      <c r="G20" s="10">
        <f>0.1*10000</f>
        <v>1000</v>
      </c>
      <c r="H20" s="10">
        <f>0.13*10000</f>
        <v>1300</v>
      </c>
      <c r="I20" s="10">
        <f>0.05*10000</f>
        <v>500</v>
      </c>
      <c r="J20" s="36">
        <f t="shared" si="0"/>
        <v>673.33333333333337</v>
      </c>
      <c r="K20" s="10">
        <f>0.12*10000</f>
        <v>1200</v>
      </c>
      <c r="L20" s="10">
        <f>0.09*10000</f>
        <v>900</v>
      </c>
      <c r="M20" s="10">
        <f>0.05*10000</f>
        <v>500</v>
      </c>
      <c r="N20" s="36">
        <f t="shared" si="3"/>
        <v>646.66666666666663</v>
      </c>
      <c r="O20" s="10">
        <f>0.13*10000</f>
        <v>1300</v>
      </c>
      <c r="P20" s="10">
        <f>0.09*10000</f>
        <v>900</v>
      </c>
      <c r="Q20" s="10">
        <f>0.05*10000</f>
        <v>500</v>
      </c>
      <c r="R20" s="36">
        <f t="shared" si="4"/>
        <v>660</v>
      </c>
      <c r="S20" s="37">
        <f t="shared" si="1"/>
        <v>653.33333333333337</v>
      </c>
    </row>
    <row r="21" spans="1:19" x14ac:dyDescent="0.3">
      <c r="A21" s="42" t="s">
        <v>14</v>
      </c>
      <c r="B21" s="9" t="s">
        <v>8</v>
      </c>
      <c r="C21" s="10">
        <f>2.02*10000</f>
        <v>20200</v>
      </c>
      <c r="D21" s="10">
        <f>1.53*10000</f>
        <v>15300</v>
      </c>
      <c r="E21" s="10">
        <f>0.53*10000</f>
        <v>5300</v>
      </c>
      <c r="F21" s="36">
        <f t="shared" si="2"/>
        <v>8620</v>
      </c>
      <c r="G21" s="10">
        <f>1.41*10000</f>
        <v>14100</v>
      </c>
      <c r="H21" s="10">
        <f>1.71*10000</f>
        <v>17100</v>
      </c>
      <c r="I21" s="10">
        <f>0.58*10000</f>
        <v>5800</v>
      </c>
      <c r="J21" s="36">
        <f t="shared" si="0"/>
        <v>8413.3333333333339</v>
      </c>
      <c r="K21" s="10">
        <f>1.71*10000</f>
        <v>17100</v>
      </c>
      <c r="L21" s="10">
        <f>1.3*10000</f>
        <v>13000</v>
      </c>
      <c r="M21" s="10">
        <f>0.59*10000</f>
        <v>5900</v>
      </c>
      <c r="N21" s="36">
        <f t="shared" si="3"/>
        <v>8340</v>
      </c>
      <c r="O21" s="10">
        <f>1.78*10000</f>
        <v>17800</v>
      </c>
      <c r="P21" s="10">
        <f>1.53*10000</f>
        <v>15300</v>
      </c>
      <c r="Q21" s="10">
        <f>0.6*10000</f>
        <v>6000</v>
      </c>
      <c r="R21" s="36">
        <f t="shared" si="4"/>
        <v>8813.3333333333339</v>
      </c>
      <c r="S21" s="37">
        <f t="shared" si="1"/>
        <v>8546.6666666666679</v>
      </c>
    </row>
    <row r="22" spans="1:19" x14ac:dyDescent="0.3">
      <c r="A22" s="42" t="s">
        <v>15</v>
      </c>
      <c r="B22" s="9" t="s">
        <v>8</v>
      </c>
      <c r="C22" s="10">
        <f>0.027*10000</f>
        <v>270</v>
      </c>
      <c r="D22" s="10">
        <f>0.02*10000</f>
        <v>200</v>
      </c>
      <c r="E22" s="10">
        <f>0.007*10000</f>
        <v>70</v>
      </c>
      <c r="F22" s="36">
        <f t="shared" si="2"/>
        <v>114</v>
      </c>
      <c r="G22" s="10">
        <f>0.034*10000</f>
        <v>340</v>
      </c>
      <c r="H22" s="10">
        <f>0.039*10000</f>
        <v>390</v>
      </c>
      <c r="I22" s="10">
        <f>0.01*10000</f>
        <v>100</v>
      </c>
      <c r="J22" s="36">
        <f t="shared" si="0"/>
        <v>170.66666666666666</v>
      </c>
      <c r="K22" s="10">
        <f>0.037*10000</f>
        <v>370</v>
      </c>
      <c r="L22" s="10">
        <f>0.023*10000</f>
        <v>230</v>
      </c>
      <c r="M22" s="10">
        <f>0.009*10000</f>
        <v>90</v>
      </c>
      <c r="N22" s="36">
        <f t="shared" si="3"/>
        <v>146</v>
      </c>
      <c r="O22" s="10">
        <f>0.031*10000</f>
        <v>310</v>
      </c>
      <c r="P22" s="10">
        <f>0.023*10000</f>
        <v>230</v>
      </c>
      <c r="Q22" s="10">
        <f>0.009*10000</f>
        <v>90</v>
      </c>
      <c r="R22" s="36">
        <f t="shared" si="4"/>
        <v>138</v>
      </c>
      <c r="S22" s="37">
        <f t="shared" si="1"/>
        <v>142.16666666666666</v>
      </c>
    </row>
    <row r="23" spans="1:19" x14ac:dyDescent="0.3">
      <c r="A23" s="42" t="s">
        <v>16</v>
      </c>
      <c r="B23" s="9" t="s">
        <v>17</v>
      </c>
      <c r="C23" s="11">
        <v>5.6</v>
      </c>
      <c r="D23" s="11">
        <v>4.5</v>
      </c>
      <c r="E23" s="11">
        <v>1.6</v>
      </c>
      <c r="F23" s="36">
        <f t="shared" si="2"/>
        <v>2.52</v>
      </c>
      <c r="G23" s="11">
        <v>7.1</v>
      </c>
      <c r="H23" s="11">
        <v>8.9</v>
      </c>
      <c r="I23" s="11">
        <v>4.8</v>
      </c>
      <c r="J23" s="36">
        <f t="shared" si="0"/>
        <v>5.6533333333333333</v>
      </c>
      <c r="K23" s="11">
        <v>9</v>
      </c>
      <c r="L23" s="11">
        <v>7.8</v>
      </c>
      <c r="M23" s="11">
        <v>7.7</v>
      </c>
      <c r="N23" s="36">
        <f t="shared" si="3"/>
        <v>7.8866666666666667</v>
      </c>
      <c r="O23" s="11">
        <v>11</v>
      </c>
      <c r="P23" s="11">
        <v>9.8000000000000007</v>
      </c>
      <c r="Q23" s="11">
        <v>13</v>
      </c>
      <c r="R23" s="36">
        <f t="shared" si="4"/>
        <v>12.306666666666667</v>
      </c>
      <c r="S23" s="37">
        <f t="shared" si="1"/>
        <v>7.0916666666666668</v>
      </c>
    </row>
    <row r="24" spans="1:19" x14ac:dyDescent="0.3">
      <c r="A24" s="42" t="s">
        <v>18</v>
      </c>
      <c r="B24" s="9" t="s">
        <v>17</v>
      </c>
      <c r="C24" s="11">
        <v>1.8</v>
      </c>
      <c r="D24" s="11">
        <v>2</v>
      </c>
      <c r="E24" s="11">
        <v>5.2</v>
      </c>
      <c r="F24" s="36">
        <f t="shared" si="2"/>
        <v>4.3199999999999994</v>
      </c>
      <c r="G24" s="11">
        <v>2.2000000000000002</v>
      </c>
      <c r="H24" s="11">
        <v>4.2</v>
      </c>
      <c r="I24" s="11">
        <v>8.5</v>
      </c>
      <c r="J24" s="36">
        <f>((I24*5.5)+H24+G24)/7.5</f>
        <v>7.0866666666666678</v>
      </c>
      <c r="K24" s="11">
        <v>4.3</v>
      </c>
      <c r="L24" s="11">
        <v>6.1</v>
      </c>
      <c r="M24" s="11">
        <v>9.5</v>
      </c>
      <c r="N24" s="36">
        <f>((M24*5.5)+L24+K24)/7.5</f>
        <v>8.3533333333333335</v>
      </c>
      <c r="O24" s="11">
        <v>5.5</v>
      </c>
      <c r="P24" s="11">
        <v>7</v>
      </c>
      <c r="Q24" s="11">
        <v>10</v>
      </c>
      <c r="R24" s="36">
        <f>((Q24*5.5)+P24+O24)/7.5</f>
        <v>9</v>
      </c>
      <c r="S24" s="37">
        <f t="shared" si="1"/>
        <v>7.1899999999999995</v>
      </c>
    </row>
    <row r="25" spans="1:19" x14ac:dyDescent="0.3">
      <c r="A25" s="42" t="s">
        <v>19</v>
      </c>
      <c r="B25" s="9" t="s">
        <v>17</v>
      </c>
      <c r="C25" s="11">
        <v>0.27</v>
      </c>
      <c r="D25" s="11">
        <v>0.38</v>
      </c>
      <c r="E25" s="11">
        <v>1.3</v>
      </c>
      <c r="F25" s="36">
        <f t="shared" si="2"/>
        <v>1.04</v>
      </c>
      <c r="G25" s="11">
        <v>0.31</v>
      </c>
      <c r="H25" s="11">
        <v>0.64</v>
      </c>
      <c r="I25" s="11">
        <v>1.5</v>
      </c>
      <c r="J25" s="36">
        <f t="shared" ref="J25:J30" si="5">((I25*5.5)+H25+G25)/7.5</f>
        <v>1.2266666666666668</v>
      </c>
      <c r="K25" s="11">
        <v>0.83</v>
      </c>
      <c r="L25" s="11">
        <v>1.3</v>
      </c>
      <c r="M25" s="11">
        <v>3.2</v>
      </c>
      <c r="N25" s="36">
        <f t="shared" si="3"/>
        <v>2.6306666666666669</v>
      </c>
      <c r="O25" s="11">
        <v>0.95</v>
      </c>
      <c r="P25" s="11">
        <v>1.3</v>
      </c>
      <c r="Q25" s="11">
        <v>2.2000000000000002</v>
      </c>
      <c r="R25" s="36">
        <f t="shared" si="4"/>
        <v>1.9133333333333336</v>
      </c>
      <c r="S25" s="37">
        <f t="shared" si="1"/>
        <v>1.702666666666667</v>
      </c>
    </row>
    <row r="26" spans="1:19" x14ac:dyDescent="0.3">
      <c r="A26" s="42" t="s">
        <v>20</v>
      </c>
      <c r="B26" s="9" t="s">
        <v>17</v>
      </c>
      <c r="C26" s="11">
        <v>0.8</v>
      </c>
      <c r="D26" s="11">
        <v>0.55000000000000004</v>
      </c>
      <c r="E26" s="11">
        <v>0.55000000000000004</v>
      </c>
      <c r="F26" s="36">
        <f t="shared" si="2"/>
        <v>0.58333333333333337</v>
      </c>
      <c r="G26" s="11">
        <v>0.72</v>
      </c>
      <c r="H26" s="11">
        <v>0.76</v>
      </c>
      <c r="I26" s="11">
        <v>0.5</v>
      </c>
      <c r="J26" s="36">
        <f t="shared" si="5"/>
        <v>0.56399999999999995</v>
      </c>
      <c r="K26" s="11">
        <v>1.3</v>
      </c>
      <c r="L26" s="11">
        <v>1.1000000000000001</v>
      </c>
      <c r="M26" s="11">
        <v>0.83</v>
      </c>
      <c r="N26" s="36">
        <f t="shared" si="3"/>
        <v>0.92866666666666653</v>
      </c>
      <c r="O26" s="11">
        <v>1.3</v>
      </c>
      <c r="P26" s="11">
        <v>1.2</v>
      </c>
      <c r="Q26" s="11">
        <v>0.74</v>
      </c>
      <c r="R26" s="36">
        <f t="shared" si="4"/>
        <v>0.876</v>
      </c>
      <c r="S26" s="37">
        <f t="shared" si="1"/>
        <v>0.73799999999999999</v>
      </c>
    </row>
    <row r="27" spans="1:19" x14ac:dyDescent="0.3">
      <c r="A27" s="42" t="s">
        <v>21</v>
      </c>
      <c r="B27" s="9" t="s">
        <v>17</v>
      </c>
      <c r="C27" s="11">
        <v>8.5</v>
      </c>
      <c r="D27" s="11">
        <v>7.5</v>
      </c>
      <c r="E27" s="11">
        <v>8.6999999999999993</v>
      </c>
      <c r="F27" s="36">
        <f t="shared" si="2"/>
        <v>8.5133333333333319</v>
      </c>
      <c r="G27" s="11">
        <v>10.3</v>
      </c>
      <c r="H27" s="11">
        <v>14.5</v>
      </c>
      <c r="I27" s="11">
        <v>15.2</v>
      </c>
      <c r="J27" s="36">
        <f t="shared" si="5"/>
        <v>14.453333333333331</v>
      </c>
      <c r="K27" s="11">
        <v>15.4</v>
      </c>
      <c r="L27" s="11">
        <v>16.3</v>
      </c>
      <c r="M27" s="11">
        <v>21.2</v>
      </c>
      <c r="N27" s="36">
        <f t="shared" si="3"/>
        <v>19.773333333333333</v>
      </c>
      <c r="O27" s="11">
        <v>18.399999999999999</v>
      </c>
      <c r="P27" s="11">
        <v>19.3</v>
      </c>
      <c r="Q27" s="11">
        <v>25.9</v>
      </c>
      <c r="R27" s="36">
        <f t="shared" si="4"/>
        <v>24.02</v>
      </c>
      <c r="S27" s="37">
        <f t="shared" si="1"/>
        <v>16.689999999999998</v>
      </c>
    </row>
    <row r="28" spans="1:19" x14ac:dyDescent="0.3">
      <c r="A28" s="42" t="s">
        <v>22</v>
      </c>
      <c r="B28" s="9" t="s">
        <v>8</v>
      </c>
      <c r="C28" s="11">
        <v>53</v>
      </c>
      <c r="D28" s="11">
        <v>23</v>
      </c>
      <c r="E28" s="11">
        <v>5</v>
      </c>
      <c r="F28" s="36">
        <f t="shared" si="2"/>
        <v>13.8</v>
      </c>
      <c r="G28" s="11">
        <v>75</v>
      </c>
      <c r="H28" s="11">
        <v>57</v>
      </c>
      <c r="I28" s="11">
        <v>15</v>
      </c>
      <c r="J28" s="36">
        <f t="shared" si="5"/>
        <v>28.6</v>
      </c>
      <c r="K28" s="11">
        <v>87</v>
      </c>
      <c r="L28" s="11">
        <v>53</v>
      </c>
      <c r="M28" s="11">
        <v>7</v>
      </c>
      <c r="N28" s="36">
        <f t="shared" si="3"/>
        <v>23.8</v>
      </c>
      <c r="O28" s="11">
        <v>77</v>
      </c>
      <c r="P28" s="11">
        <v>43</v>
      </c>
      <c r="Q28" s="11">
        <v>9</v>
      </c>
      <c r="R28" s="36">
        <f t="shared" si="4"/>
        <v>22.6</v>
      </c>
      <c r="S28" s="37">
        <f t="shared" si="1"/>
        <v>22.200000000000003</v>
      </c>
    </row>
    <row r="29" spans="1:19" x14ac:dyDescent="0.3">
      <c r="A29" s="42" t="s">
        <v>23</v>
      </c>
      <c r="B29" s="9" t="s">
        <v>24</v>
      </c>
      <c r="C29" s="11">
        <v>3.2</v>
      </c>
      <c r="D29" s="11">
        <v>5.0999999999999996</v>
      </c>
      <c r="E29" s="11">
        <v>15</v>
      </c>
      <c r="F29" s="36">
        <f t="shared" si="2"/>
        <v>12.106666666666666</v>
      </c>
      <c r="G29" s="11">
        <v>3</v>
      </c>
      <c r="H29" s="11">
        <v>4.4000000000000004</v>
      </c>
      <c r="I29" s="11">
        <v>9.6</v>
      </c>
      <c r="J29" s="36">
        <f t="shared" si="5"/>
        <v>8.0266666666666655</v>
      </c>
      <c r="K29" s="11">
        <v>5</v>
      </c>
      <c r="L29" s="11">
        <v>7.9</v>
      </c>
      <c r="M29" s="11">
        <v>15</v>
      </c>
      <c r="N29" s="36">
        <f t="shared" si="3"/>
        <v>12.72</v>
      </c>
      <c r="O29" s="11">
        <v>5.0999999999999996</v>
      </c>
      <c r="P29" s="11">
        <v>6.9</v>
      </c>
      <c r="Q29" s="11">
        <v>8.5</v>
      </c>
      <c r="R29" s="36">
        <f t="shared" si="4"/>
        <v>7.833333333333333</v>
      </c>
      <c r="S29" s="37">
        <f t="shared" si="1"/>
        <v>10.171666666666667</v>
      </c>
    </row>
    <row r="30" spans="1:19" x14ac:dyDescent="0.3">
      <c r="A30" s="43" t="s">
        <v>25</v>
      </c>
      <c r="B30" s="12" t="s">
        <v>26</v>
      </c>
      <c r="C30" s="13">
        <v>67</v>
      </c>
      <c r="D30" s="13">
        <v>44</v>
      </c>
      <c r="E30" s="13">
        <v>60</v>
      </c>
      <c r="F30" s="38">
        <f>((E30*5.5)+D30+C30)/7.5</f>
        <v>58.8</v>
      </c>
      <c r="G30" s="13">
        <v>50</v>
      </c>
      <c r="H30" s="13">
        <v>100</v>
      </c>
      <c r="I30" s="13">
        <v>59</v>
      </c>
      <c r="J30" s="38">
        <f t="shared" si="5"/>
        <v>63.266666666666666</v>
      </c>
      <c r="K30" s="13">
        <v>67</v>
      </c>
      <c r="L30" s="13">
        <v>71</v>
      </c>
      <c r="M30" s="13">
        <v>76</v>
      </c>
      <c r="N30" s="38">
        <f t="shared" si="3"/>
        <v>74.13333333333334</v>
      </c>
      <c r="O30" s="13">
        <v>75</v>
      </c>
      <c r="P30" s="13">
        <v>72</v>
      </c>
      <c r="Q30" s="13">
        <v>79</v>
      </c>
      <c r="R30" s="38">
        <f t="shared" si="4"/>
        <v>77.533333333333331</v>
      </c>
      <c r="S30" s="37">
        <f t="shared" si="1"/>
        <v>68.433333333333337</v>
      </c>
    </row>
    <row r="42" spans="12:12" x14ac:dyDescent="0.3">
      <c r="L42" t="s">
        <v>27</v>
      </c>
    </row>
  </sheetData>
  <hyperlinks>
    <hyperlink ref="B4" r:id="rId1" xr:uid="{8E2926CD-BB49-49D6-8FE6-7EA943F03680}"/>
  </hyperlinks>
  <pageMargins left="0.7" right="0.7" top="0.75" bottom="0.75" header="0.3" footer="0.3"/>
  <pageSetup paperSize="9"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Coleman</dc:creator>
  <cp:lastModifiedBy>Aaron Coleman</cp:lastModifiedBy>
  <cp:lastPrinted>2023-03-15T05:15:15Z</cp:lastPrinted>
  <dcterms:created xsi:type="dcterms:W3CDTF">2020-03-17T03:08:29Z</dcterms:created>
  <dcterms:modified xsi:type="dcterms:W3CDTF">2023-03-15T21:15:58Z</dcterms:modified>
</cp:coreProperties>
</file>